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a-IOR\Downloads\"/>
    </mc:Choice>
  </mc:AlternateContent>
  <xr:revisionPtr revIDLastSave="0" documentId="8_{165AFE91-7DB1-4E62-B219-D99B1AEC8E28}" xr6:coauthVersionLast="47" xr6:coauthVersionMax="47" xr10:uidLastSave="{00000000-0000-0000-0000-000000000000}"/>
  <bookViews>
    <workbookView xWindow="22050" yWindow="-1050" windowWidth="15855" windowHeight="15555" xr2:uid="{E269F529-3ADB-4194-AB89-3D4CF0090F95}"/>
  </bookViews>
  <sheets>
    <sheet name="Assesment" sheetId="1" r:id="rId1"/>
    <sheet name="Building code demands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K7" i="1" s="1"/>
  <c r="B9" i="2"/>
  <c r="G9" i="2"/>
  <c r="I2" i="1" s="1"/>
  <c r="H6" i="1" s="1"/>
  <c r="H11" i="1" s="1"/>
  <c r="D9" i="2"/>
  <c r="K2" i="1" s="1"/>
  <c r="E9" i="2"/>
  <c r="E12" i="1" s="1"/>
  <c r="F9" i="2"/>
  <c r="E11" i="1" s="1"/>
  <c r="C9" i="2"/>
  <c r="E13" i="1" s="1"/>
  <c r="K4" i="1" l="1"/>
  <c r="E10" i="1"/>
  <c r="K3" i="1"/>
  <c r="K5" i="1"/>
  <c r="K6" i="1"/>
  <c r="K15" i="1" l="1"/>
  <c r="K13" i="1" l="1"/>
  <c r="B2" i="1" l="1"/>
  <c r="E4" i="1" s="1"/>
  <c r="D5" i="1" s="1"/>
  <c r="K10" i="1" l="1"/>
  <c r="K21" i="1" s="1"/>
  <c r="H10" i="1"/>
  <c r="K11" i="1"/>
  <c r="B16" i="1"/>
  <c r="B21" i="1" s="1"/>
  <c r="H12" i="1" l="1"/>
  <c r="H21" i="1" s="1"/>
  <c r="K16" i="1"/>
  <c r="K18" i="1" s="1"/>
  <c r="B23" i="1"/>
  <c r="E19" i="1" s="1"/>
  <c r="B19" i="1"/>
  <c r="B18" i="1"/>
  <c r="E15" i="1" s="1"/>
  <c r="E30" i="1" l="1"/>
  <c r="B20" i="1"/>
  <c r="E17" i="1" l="1"/>
  <c r="B22" i="1"/>
  <c r="E18" i="1" s="1"/>
  <c r="E21" i="1" l="1"/>
  <c r="E25" i="1" s="1"/>
  <c r="E27" i="1" s="1"/>
  <c r="E31" i="1" l="1"/>
  <c r="G27" i="1"/>
  <c r="E23" i="1"/>
  <c r="E29" i="1" s="1"/>
</calcChain>
</file>

<file path=xl/sharedStrings.xml><?xml version="1.0" encoding="utf-8"?>
<sst xmlns="http://schemas.openxmlformats.org/spreadsheetml/2006/main" count="130" uniqueCount="87">
  <si>
    <t>m2</t>
  </si>
  <si>
    <t>m</t>
  </si>
  <si>
    <t>stk</t>
  </si>
  <si>
    <t>W/m2K</t>
  </si>
  <si>
    <t>m3</t>
  </si>
  <si>
    <t>m3/h</t>
  </si>
  <si>
    <t>Q infiltrasjon</t>
  </si>
  <si>
    <t>W</t>
  </si>
  <si>
    <t>m3/h/m2</t>
  </si>
  <si>
    <t>K</t>
  </si>
  <si>
    <t>C</t>
  </si>
  <si>
    <t>kW</t>
  </si>
  <si>
    <t>W/m2</t>
  </si>
  <si>
    <t>Q trans og inf.</t>
  </si>
  <si>
    <t>q trans&amp;inf</t>
  </si>
  <si>
    <t>q vent</t>
  </si>
  <si>
    <t>°</t>
  </si>
  <si>
    <t>Assesment of heat demand covering transmision and infiltration losses</t>
  </si>
  <si>
    <t>Floor space</t>
  </si>
  <si>
    <t>Occupance design</t>
  </si>
  <si>
    <t>T Indoor</t>
  </si>
  <si>
    <t>Design Ambient temperature</t>
  </si>
  <si>
    <t>Length of the building</t>
  </si>
  <si>
    <t>Width</t>
  </si>
  <si>
    <t>Number of storages</t>
  </si>
  <si>
    <t>Storage hight</t>
  </si>
  <si>
    <t>Window share of building envelope</t>
  </si>
  <si>
    <t>Incline roof</t>
  </si>
  <si>
    <t>Area building fasades</t>
  </si>
  <si>
    <t>Area windows</t>
  </si>
  <si>
    <t>Area wall</t>
  </si>
  <si>
    <t>Roof width</t>
  </si>
  <si>
    <t>Area floor to ground (footprint)</t>
  </si>
  <si>
    <t>Efficiency recuperator in AHU</t>
  </si>
  <si>
    <t>°C</t>
  </si>
  <si>
    <t>T soil. Set to annual mean temperature</t>
  </si>
  <si>
    <t>ΔT supply air from fan power</t>
  </si>
  <si>
    <t>U floor</t>
  </si>
  <si>
    <t>U window</t>
  </si>
  <si>
    <t>U wall</t>
  </si>
  <si>
    <t>U roof</t>
  </si>
  <si>
    <t>Heat loss floor</t>
  </si>
  <si>
    <t>Heat loss windows</t>
  </si>
  <si>
    <t>Heat loss roof</t>
  </si>
  <si>
    <t>Total transmision heat loss</t>
  </si>
  <si>
    <t>Transmision</t>
  </si>
  <si>
    <t>Maximum air leakage from building codes</t>
  </si>
  <si>
    <t>Air change due to infiltration</t>
  </si>
  <si>
    <t>ΔT supply air / room temperature</t>
  </si>
  <si>
    <t>m3/h/pers</t>
  </si>
  <si>
    <t>Hygienic minimum ventilation rate, building</t>
  </si>
  <si>
    <t>Total hygienic minimum ventilation rate</t>
  </si>
  <si>
    <t>TEK97</t>
  </si>
  <si>
    <t>TEK07</t>
  </si>
  <si>
    <t>TEK10</t>
  </si>
  <si>
    <t>TEK17</t>
  </si>
  <si>
    <t>Low energy building</t>
  </si>
  <si>
    <t>Roof</t>
  </si>
  <si>
    <t>Floor</t>
  </si>
  <si>
    <t xml:space="preserve"> Outer walls</t>
  </si>
  <si>
    <t>Windows</t>
  </si>
  <si>
    <t>Air leakage</t>
  </si>
  <si>
    <t>Recuperator efficiency</t>
  </si>
  <si>
    <t>Volume of the building</t>
  </si>
  <si>
    <t>Air flow</t>
  </si>
  <si>
    <t>Infiltration</t>
  </si>
  <si>
    <t>Q tot, design building heating</t>
  </si>
  <si>
    <t>Total air flow</t>
  </si>
  <si>
    <t>Supply air temperature</t>
  </si>
  <si>
    <t>Supply air temperature after recuperator</t>
  </si>
  <si>
    <t>Supply air temperature after heating coil</t>
  </si>
  <si>
    <r>
      <rPr>
        <sz val="9"/>
        <color theme="1"/>
        <rFont val="Calibri"/>
        <family val="2"/>
      </rPr>
      <t>Δ</t>
    </r>
    <r>
      <rPr>
        <sz val="9"/>
        <color theme="1"/>
        <rFont val="Calibri"/>
        <family val="2"/>
        <scheme val="minor"/>
      </rPr>
      <t>T heating coil</t>
    </r>
  </si>
  <si>
    <t>Heat demand heating coil</t>
  </si>
  <si>
    <t>Heat demand from subtemperature suplly air</t>
  </si>
  <si>
    <t>Q tot, design, heating system</t>
  </si>
  <si>
    <t>Minimum demands from building code</t>
  </si>
  <si>
    <t>per hour</t>
  </si>
  <si>
    <t>leakage number at 50 Pa</t>
  </si>
  <si>
    <t>Recuperatorefficiency</t>
  </si>
  <si>
    <t>q tot des</t>
  </si>
  <si>
    <t>Ventilation</t>
  </si>
  <si>
    <t>Air change</t>
  </si>
  <si>
    <t>Area roof</t>
  </si>
  <si>
    <t>Wall area from gable/roof incline</t>
  </si>
  <si>
    <t>Hygienic minimum ventilation rate, people</t>
  </si>
  <si>
    <t>Passiv house</t>
  </si>
  <si>
    <t>Heat loss walls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</si>
</sst>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/>
    <xf numFmtId="0" fontId="5" fillId="0" borderId="0" xfId="0" applyFont="1" applyBorder="1" applyAlignment="1"/>
    <xf numFmtId="3" fontId="5" fillId="0" borderId="0" xfId="0" applyNumberFormat="1" applyFont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2" borderId="0" xfId="0" applyFont="1" applyFill="1" applyBorder="1" applyAlignment="1" applyProtection="1">
      <protection locked="0"/>
    </xf>
    <xf numFmtId="3" fontId="5" fillId="0" borderId="0" xfId="0" applyNumberFormat="1" applyFont="1" applyBorder="1" applyAlignment="1"/>
    <xf numFmtId="0" fontId="5" fillId="0" borderId="6" xfId="0" applyFont="1" applyBorder="1" applyAlignment="1"/>
    <xf numFmtId="3" fontId="5" fillId="0" borderId="7" xfId="0" applyNumberFormat="1" applyFont="1" applyBorder="1" applyAlignment="1"/>
    <xf numFmtId="0" fontId="5" fillId="0" borderId="8" xfId="0" applyFont="1" applyBorder="1" applyAlignment="1"/>
    <xf numFmtId="2" fontId="5" fillId="0" borderId="0" xfId="0" applyNumberFormat="1" applyFont="1" applyAlignment="1"/>
    <xf numFmtId="164" fontId="5" fillId="0" borderId="0" xfId="0" applyNumberFormat="1" applyFont="1" applyAlignment="1"/>
    <xf numFmtId="0" fontId="5" fillId="0" borderId="0" xfId="0" applyFont="1" applyFill="1" applyBorder="1" applyAlignment="1"/>
    <xf numFmtId="3" fontId="6" fillId="0" borderId="0" xfId="0" applyNumberFormat="1" applyFont="1" applyAlignment="1"/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9" fontId="5" fillId="2" borderId="0" xfId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/>
    <xf numFmtId="3" fontId="6" fillId="0" borderId="7" xfId="0" applyNumberFormat="1" applyFont="1" applyBorder="1" applyAlignment="1"/>
    <xf numFmtId="0" fontId="6" fillId="0" borderId="8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vertical="center"/>
      <protection locked="0"/>
    </xf>
    <xf numFmtId="9" fontId="0" fillId="0" borderId="0" xfId="0" applyNumberFormat="1"/>
    <xf numFmtId="0" fontId="6" fillId="0" borderId="0" xfId="0" applyFont="1" applyFill="1" applyBorder="1" applyAlignment="1"/>
    <xf numFmtId="3" fontId="7" fillId="0" borderId="0" xfId="0" applyNumberFormat="1" applyFont="1" applyAlignment="1"/>
    <xf numFmtId="0" fontId="6" fillId="0" borderId="0" xfId="0" applyFont="1" applyAlignment="1"/>
    <xf numFmtId="9" fontId="0" fillId="0" borderId="0" xfId="1" applyFont="1"/>
    <xf numFmtId="0" fontId="5" fillId="0" borderId="0" xfId="0" applyFont="1" applyAlignment="1">
      <alignment horizontal="left" indent="2"/>
    </xf>
    <xf numFmtId="9" fontId="5" fillId="0" borderId="0" xfId="0" applyNumberFormat="1" applyFont="1" applyAlignment="1"/>
    <xf numFmtId="0" fontId="5" fillId="0" borderId="4" xfId="0" applyFont="1" applyBorder="1" applyAlignment="1">
      <alignment horizontal="left" vertical="center" indent="4"/>
    </xf>
    <xf numFmtId="0" fontId="5" fillId="0" borderId="4" xfId="0" applyFont="1" applyBorder="1" applyAlignment="1">
      <alignment horizontal="left" indent="4"/>
    </xf>
    <xf numFmtId="0" fontId="2" fillId="0" borderId="0" xfId="0" applyFont="1" applyBorder="1" applyAlignment="1">
      <alignment vertical="center"/>
    </xf>
    <xf numFmtId="165" fontId="6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'Building code demands'!$A$9" fmlaRange="'Building code demands'!$B$2:$B$7" noThreeD="1" sel="4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694765</xdr:colOff>
      <xdr:row>21</xdr:row>
      <xdr:rowOff>22412</xdr:rowOff>
    </xdr:from>
    <xdr:to>
      <xdr:col>4</xdr:col>
      <xdr:colOff>705970</xdr:colOff>
      <xdr:row>22</xdr:row>
      <xdr:rowOff>11206</xdr:rowOff>
    </xdr:to>
    <xdr:cxnSp macro="">
      <xdr:nvCxnSpPr>
        <xdr:cNvPr id="4" name="Rett pilkobl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426324" y="4213412"/>
          <a:ext cx="11205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11206</xdr:rowOff>
    </xdr:from>
    <xdr:to>
      <xdr:col>7</xdr:col>
      <xdr:colOff>369794</xdr:colOff>
      <xdr:row>22</xdr:row>
      <xdr:rowOff>67235</xdr:rowOff>
    </xdr:to>
    <xdr:cxnSp macro="">
      <xdr:nvCxnSpPr>
        <xdr:cNvPr id="9" name="Rett pilkobl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773706" y="4202206"/>
          <a:ext cx="2017059" cy="2465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773206</xdr:colOff>
      <xdr:row>23</xdr:row>
      <xdr:rowOff>22412</xdr:rowOff>
    </xdr:from>
    <xdr:to>
      <xdr:col>4</xdr:col>
      <xdr:colOff>784412</xdr:colOff>
      <xdr:row>24</xdr:row>
      <xdr:rowOff>11206</xdr:rowOff>
    </xdr:to>
    <xdr:cxnSp macro="">
      <xdr:nvCxnSpPr>
        <xdr:cNvPr id="11" name="Rett pilkobl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504765" y="4594412"/>
          <a:ext cx="11206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24580</xdr:colOff>
      <xdr:row>20</xdr:row>
      <xdr:rowOff>109904</xdr:rowOff>
    </xdr:from>
    <xdr:to>
      <xdr:col>10</xdr:col>
      <xdr:colOff>307731</xdr:colOff>
      <xdr:row>24</xdr:row>
      <xdr:rowOff>3411</xdr:rowOff>
    </xdr:to>
    <xdr:cxnSp macro="">
      <xdr:nvCxnSpPr>
        <xdr:cNvPr id="13" name="Rett pilkobl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5387888" y="3223846"/>
          <a:ext cx="5192189" cy="5089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364436</xdr:colOff>
      <xdr:row>17</xdr:row>
      <xdr:rowOff>117231</xdr:rowOff>
    </xdr:from>
    <xdr:to>
      <xdr:col>10</xdr:col>
      <xdr:colOff>307731</xdr:colOff>
      <xdr:row>26</xdr:row>
      <xdr:rowOff>57978</xdr:rowOff>
    </xdr:to>
    <xdr:cxnSp macro="">
      <xdr:nvCxnSpPr>
        <xdr:cNvPr id="15" name="Rett pilkobl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5288128" y="2769577"/>
          <a:ext cx="5291949" cy="13255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717176</xdr:colOff>
      <xdr:row>25</xdr:row>
      <xdr:rowOff>11206</xdr:rowOff>
    </xdr:from>
    <xdr:to>
      <xdr:col>4</xdr:col>
      <xdr:colOff>717176</xdr:colOff>
      <xdr:row>26</xdr:row>
      <xdr:rowOff>0</xdr:rowOff>
    </xdr:to>
    <xdr:cxnSp macro="">
      <xdr:nvCxnSpPr>
        <xdr:cNvPr id="17" name="Rett pilkobli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448735" y="4964206"/>
          <a:ext cx="0" cy="1792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0</xdr:row>
          <xdr:rowOff>0</xdr:rowOff>
        </xdr:from>
        <xdr:to>
          <xdr:col>11</xdr:col>
          <xdr:colOff>276225</xdr:colOff>
          <xdr:row>0</xdr:row>
          <xdr:rowOff>133350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59B6D-788F-4FAA-9A4D-8CF0DEFED23F}">
  <sheetPr codeName="Ark1"/>
  <dimension ref="A1:N31"/>
  <sheetViews>
    <sheetView tabSelected="1" zoomScale="130" zoomScaleNormal="130" workbookViewId="0">
      <selection activeCell="A13" sqref="A13"/>
    </sheetView>
  </sheetViews>
  <sheetFormatPr defaultColWidth="10.85546875" defaultRowHeight="12" x14ac:dyDescent="0.2"/>
  <cols>
    <col min="1" max="1" width="28.85546875" style="1" customWidth="1"/>
    <col min="2" max="2" width="7.140625" style="1" customWidth="1"/>
    <col min="3" max="3" width="4.85546875" style="1" customWidth="1"/>
    <col min="4" max="4" width="33" style="1" customWidth="1"/>
    <col min="5" max="5" width="6.5703125" style="1" customWidth="1"/>
    <col min="6" max="6" width="8.5703125" style="1" customWidth="1"/>
    <col min="7" max="7" width="17" style="1" customWidth="1"/>
    <col min="8" max="8" width="6.7109375" style="1" customWidth="1"/>
    <col min="9" max="9" width="6.85546875" style="1" customWidth="1"/>
    <col min="10" max="10" width="33.42578125" style="1" customWidth="1"/>
    <col min="11" max="12" width="6.5703125" style="1" customWidth="1"/>
    <col min="13" max="16384" width="10.85546875" style="1"/>
  </cols>
  <sheetData>
    <row r="1" spans="1:14" ht="15" x14ac:dyDescent="0.2">
      <c r="A1" s="42" t="s">
        <v>17</v>
      </c>
      <c r="B1" s="15"/>
      <c r="C1" s="15"/>
      <c r="D1" s="15"/>
      <c r="E1" s="15"/>
      <c r="F1" s="15"/>
      <c r="G1" s="2"/>
      <c r="H1" s="2"/>
      <c r="I1" s="2"/>
      <c r="J1" s="38" t="s">
        <v>75</v>
      </c>
    </row>
    <row r="2" spans="1:14" x14ac:dyDescent="0.2">
      <c r="A2" s="15" t="s">
        <v>18</v>
      </c>
      <c r="B2" s="3">
        <f>B9*B10*B11</f>
        <v>17000</v>
      </c>
      <c r="C2" s="15" t="s">
        <v>0</v>
      </c>
      <c r="D2" s="15" t="s">
        <v>50</v>
      </c>
      <c r="E2" s="15">
        <v>0</v>
      </c>
      <c r="F2" s="15" t="s">
        <v>8</v>
      </c>
      <c r="G2" s="47" t="s">
        <v>46</v>
      </c>
      <c r="H2" s="47"/>
      <c r="I2" s="48">
        <f>'Building code demands'!G9</f>
        <v>1.5</v>
      </c>
      <c r="J2" s="40" t="s">
        <v>37</v>
      </c>
      <c r="K2" s="32">
        <f>'Building code demands'!D9</f>
        <v>0.1</v>
      </c>
      <c r="L2" s="15" t="s">
        <v>3</v>
      </c>
      <c r="M2" s="2"/>
    </row>
    <row r="3" spans="1:14" ht="12" customHeight="1" x14ac:dyDescent="0.2">
      <c r="A3" s="15" t="s">
        <v>19</v>
      </c>
      <c r="B3" s="16">
        <v>850</v>
      </c>
      <c r="D3" s="1" t="s">
        <v>84</v>
      </c>
      <c r="E3" s="1">
        <v>21.6</v>
      </c>
      <c r="F3" s="1" t="s">
        <v>49</v>
      </c>
      <c r="G3" s="47"/>
      <c r="H3" s="47"/>
      <c r="I3" s="48"/>
      <c r="J3" s="40" t="s">
        <v>38</v>
      </c>
      <c r="K3" s="32">
        <f>'Building code demands'!F9</f>
        <v>0.8</v>
      </c>
      <c r="L3" s="15" t="s">
        <v>3</v>
      </c>
      <c r="M3" s="2"/>
    </row>
    <row r="4" spans="1:14" x14ac:dyDescent="0.2">
      <c r="A4" s="15"/>
      <c r="B4" s="15"/>
      <c r="C4" s="15"/>
      <c r="D4" s="1" t="s">
        <v>51</v>
      </c>
      <c r="E4" s="11">
        <f>(E2*B2+E3*B3)/B2</f>
        <v>1.08</v>
      </c>
      <c r="F4" s="15" t="s">
        <v>8</v>
      </c>
      <c r="G4" s="31"/>
      <c r="H4" s="31"/>
      <c r="I4" s="32"/>
      <c r="J4" s="40" t="s">
        <v>39</v>
      </c>
      <c r="K4" s="32">
        <f>'Building code demands'!E9</f>
        <v>0.18</v>
      </c>
      <c r="L4" s="15" t="s">
        <v>3</v>
      </c>
      <c r="M4" s="2"/>
    </row>
    <row r="5" spans="1:14" x14ac:dyDescent="0.2">
      <c r="A5" s="15" t="s">
        <v>35</v>
      </c>
      <c r="B5" s="16">
        <v>12</v>
      </c>
      <c r="C5" s="15" t="s">
        <v>34</v>
      </c>
      <c r="D5" s="15" t="str">
        <f>"Actual minimum ventilation rate ("&amp;ROUND(E5/E4,2)&amp;")"</f>
        <v>Actual minimum ventilation rate (1.2)</v>
      </c>
      <c r="E5" s="16">
        <v>1.3</v>
      </c>
      <c r="F5" s="15" t="s">
        <v>8</v>
      </c>
      <c r="G5" s="31"/>
      <c r="H5" s="31"/>
      <c r="I5" s="32"/>
      <c r="J5" s="40" t="s">
        <v>40</v>
      </c>
      <c r="K5" s="32">
        <f>'Building code demands'!C9</f>
        <v>0.13</v>
      </c>
      <c r="L5" s="15" t="s">
        <v>3</v>
      </c>
      <c r="M5" s="2"/>
    </row>
    <row r="6" spans="1:14" x14ac:dyDescent="0.2">
      <c r="A6" s="15" t="s">
        <v>20</v>
      </c>
      <c r="B6" s="16">
        <v>22</v>
      </c>
      <c r="C6" s="15" t="s">
        <v>34</v>
      </c>
      <c r="D6" s="15" t="s">
        <v>33</v>
      </c>
      <c r="E6" s="17">
        <v>0.8</v>
      </c>
      <c r="F6" s="15"/>
      <c r="G6" s="49" t="s">
        <v>47</v>
      </c>
      <c r="H6" s="50">
        <f>I2*0.07</f>
        <v>0.10500000000000001</v>
      </c>
      <c r="I6" s="51" t="s">
        <v>76</v>
      </c>
      <c r="J6" s="41" t="s">
        <v>77</v>
      </c>
      <c r="K6" s="32">
        <f>'Building code demands'!G9</f>
        <v>1.5</v>
      </c>
      <c r="L6" s="1" t="s">
        <v>76</v>
      </c>
    </row>
    <row r="7" spans="1:14" x14ac:dyDescent="0.2">
      <c r="A7" s="18" t="s">
        <v>21</v>
      </c>
      <c r="B7" s="16">
        <v>-1.9</v>
      </c>
      <c r="C7" s="18" t="s">
        <v>34</v>
      </c>
      <c r="D7" s="15" t="s">
        <v>48</v>
      </c>
      <c r="E7" s="16">
        <v>0</v>
      </c>
      <c r="F7" s="15" t="s">
        <v>9</v>
      </c>
      <c r="G7" s="49"/>
      <c r="H7" s="50"/>
      <c r="I7" s="51"/>
      <c r="J7" s="41" t="s">
        <v>78</v>
      </c>
      <c r="K7" s="39">
        <f>'Building code demands'!H9</f>
        <v>0.8</v>
      </c>
    </row>
    <row r="8" spans="1:14" x14ac:dyDescent="0.2">
      <c r="A8" s="2"/>
      <c r="B8" s="2"/>
      <c r="C8" s="2"/>
      <c r="D8" s="15" t="s">
        <v>36</v>
      </c>
      <c r="E8" s="16">
        <v>0</v>
      </c>
      <c r="F8" s="2" t="s">
        <v>9</v>
      </c>
      <c r="G8" s="2"/>
      <c r="H8" s="2"/>
      <c r="I8" s="2"/>
      <c r="J8" s="8"/>
    </row>
    <row r="9" spans="1:14" x14ac:dyDescent="0.2">
      <c r="A9" s="15" t="s">
        <v>22</v>
      </c>
      <c r="B9" s="16">
        <v>125</v>
      </c>
      <c r="C9" s="15" t="s">
        <v>1</v>
      </c>
      <c r="D9" s="44" t="s">
        <v>45</v>
      </c>
      <c r="E9" s="45"/>
      <c r="F9" s="46"/>
      <c r="G9" s="44" t="s">
        <v>65</v>
      </c>
      <c r="H9" s="45"/>
      <c r="I9" s="46"/>
      <c r="J9" s="44" t="s">
        <v>80</v>
      </c>
      <c r="K9" s="45"/>
      <c r="L9" s="46"/>
    </row>
    <row r="10" spans="1:14" x14ac:dyDescent="0.2">
      <c r="A10" s="15" t="s">
        <v>23</v>
      </c>
      <c r="B10" s="16">
        <v>17</v>
      </c>
      <c r="C10" s="15" t="s">
        <v>1</v>
      </c>
      <c r="D10" s="19" t="s">
        <v>37</v>
      </c>
      <c r="E10" s="16">
        <f>'Building code demands'!D9</f>
        <v>0.1</v>
      </c>
      <c r="F10" s="20" t="s">
        <v>3</v>
      </c>
      <c r="G10" s="19" t="s">
        <v>63</v>
      </c>
      <c r="H10" s="21">
        <f>B11*B12*B10*B9</f>
        <v>51000</v>
      </c>
      <c r="I10" s="22" t="s">
        <v>4</v>
      </c>
      <c r="J10" s="23" t="s">
        <v>67</v>
      </c>
      <c r="K10" s="24">
        <f>B2*E5</f>
        <v>22100</v>
      </c>
      <c r="L10" s="22" t="s">
        <v>5</v>
      </c>
      <c r="N10" s="18"/>
    </row>
    <row r="11" spans="1:14" x14ac:dyDescent="0.2">
      <c r="A11" s="15" t="s">
        <v>24</v>
      </c>
      <c r="B11" s="16">
        <v>8</v>
      </c>
      <c r="C11" s="15" t="s">
        <v>2</v>
      </c>
      <c r="D11" s="19" t="s">
        <v>38</v>
      </c>
      <c r="E11" s="16">
        <f>'Building code demands'!F9</f>
        <v>0.8</v>
      </c>
      <c r="F11" s="20" t="s">
        <v>3</v>
      </c>
      <c r="G11" s="19" t="s">
        <v>81</v>
      </c>
      <c r="H11" s="25">
        <f>H6</f>
        <v>0.10500000000000001</v>
      </c>
      <c r="I11" s="22" t="s">
        <v>76</v>
      </c>
      <c r="J11" s="23" t="s">
        <v>68</v>
      </c>
      <c r="K11" s="18">
        <f>B6-E7</f>
        <v>22</v>
      </c>
      <c r="L11" s="22" t="s">
        <v>10</v>
      </c>
    </row>
    <row r="12" spans="1:14" x14ac:dyDescent="0.2">
      <c r="A12" s="15" t="s">
        <v>25</v>
      </c>
      <c r="B12" s="16">
        <v>3</v>
      </c>
      <c r="C12" s="15" t="s">
        <v>1</v>
      </c>
      <c r="D12" s="19" t="s">
        <v>39</v>
      </c>
      <c r="E12" s="16">
        <f>'Building code demands'!E9</f>
        <v>0.18</v>
      </c>
      <c r="F12" s="20" t="s">
        <v>3</v>
      </c>
      <c r="G12" s="19" t="s">
        <v>64</v>
      </c>
      <c r="H12" s="21">
        <f>H10*H11</f>
        <v>5355.0000000000009</v>
      </c>
      <c r="I12" s="22" t="s">
        <v>5</v>
      </c>
      <c r="J12" s="4"/>
      <c r="K12" s="18"/>
      <c r="L12" s="5"/>
    </row>
    <row r="13" spans="1:14" x14ac:dyDescent="0.2">
      <c r="A13" s="15" t="s">
        <v>26</v>
      </c>
      <c r="B13" s="27">
        <v>0.3</v>
      </c>
      <c r="C13" s="15"/>
      <c r="D13" s="19" t="s">
        <v>40</v>
      </c>
      <c r="E13" s="16">
        <f>'Building code demands'!C9</f>
        <v>0.13</v>
      </c>
      <c r="F13" s="20" t="s">
        <v>3</v>
      </c>
      <c r="G13" s="19"/>
      <c r="H13" s="26"/>
      <c r="I13" s="5"/>
      <c r="J13" s="23" t="s">
        <v>69</v>
      </c>
      <c r="K13" s="18">
        <f>(B6-B7)*E6+B7</f>
        <v>17.220000000000002</v>
      </c>
      <c r="L13" s="5" t="s">
        <v>10</v>
      </c>
    </row>
    <row r="14" spans="1:14" x14ac:dyDescent="0.2">
      <c r="A14" s="15"/>
      <c r="B14" s="15"/>
      <c r="C14" s="15"/>
      <c r="D14" s="4"/>
      <c r="E14" s="2"/>
      <c r="F14" s="5"/>
      <c r="G14" s="4"/>
      <c r="H14" s="2"/>
      <c r="I14" s="5"/>
      <c r="J14" s="4"/>
      <c r="K14" s="18"/>
      <c r="L14" s="5"/>
    </row>
    <row r="15" spans="1:14" x14ac:dyDescent="0.2">
      <c r="A15" s="18" t="s">
        <v>27</v>
      </c>
      <c r="B15" s="6">
        <v>12</v>
      </c>
      <c r="C15" s="18" t="s">
        <v>16</v>
      </c>
      <c r="D15" s="4" t="s">
        <v>41</v>
      </c>
      <c r="E15" s="7">
        <f>B18*E10*($B$6-$B$5)</f>
        <v>2125</v>
      </c>
      <c r="F15" s="5" t="s">
        <v>7</v>
      </c>
      <c r="G15" s="4"/>
      <c r="H15" s="2"/>
      <c r="I15" s="5"/>
      <c r="J15" s="23" t="s">
        <v>70</v>
      </c>
      <c r="K15" s="18">
        <f>B6-E7-E8</f>
        <v>22</v>
      </c>
      <c r="L15" s="5" t="s">
        <v>10</v>
      </c>
    </row>
    <row r="16" spans="1:14" x14ac:dyDescent="0.2">
      <c r="A16" s="18" t="s">
        <v>31</v>
      </c>
      <c r="B16" s="11">
        <f>B10/COS(RADIANS(B15))</f>
        <v>17.379790112705496</v>
      </c>
      <c r="C16" s="1" t="s">
        <v>1</v>
      </c>
      <c r="D16" s="4"/>
      <c r="E16" s="7"/>
      <c r="F16" s="5"/>
      <c r="G16" s="4"/>
      <c r="H16" s="2"/>
      <c r="I16" s="5"/>
      <c r="J16" s="23" t="s">
        <v>71</v>
      </c>
      <c r="K16" s="2">
        <f>K15-K13</f>
        <v>4.7799999999999976</v>
      </c>
      <c r="L16" s="5" t="s">
        <v>9</v>
      </c>
    </row>
    <row r="17" spans="1:12" x14ac:dyDescent="0.2">
      <c r="D17" s="4" t="s">
        <v>42</v>
      </c>
      <c r="E17" s="7">
        <f>B20*E11*($B$6-$B$7)</f>
        <v>39096.576000000001</v>
      </c>
      <c r="F17" s="5" t="s">
        <v>7</v>
      </c>
      <c r="G17" s="4"/>
      <c r="H17" s="2"/>
      <c r="I17" s="5"/>
      <c r="J17" s="4"/>
      <c r="K17" s="2"/>
      <c r="L17" s="5"/>
    </row>
    <row r="18" spans="1:12" x14ac:dyDescent="0.2">
      <c r="A18" s="18" t="s">
        <v>32</v>
      </c>
      <c r="B18" s="3">
        <f>B9*B10</f>
        <v>2125</v>
      </c>
      <c r="C18" s="1" t="s">
        <v>0</v>
      </c>
      <c r="D18" s="4" t="s">
        <v>86</v>
      </c>
      <c r="E18" s="7">
        <f>B22*E12*($B$6-$B$7)</f>
        <v>20657.835848439987</v>
      </c>
      <c r="F18" s="5" t="s">
        <v>7</v>
      </c>
      <c r="G18" s="4"/>
      <c r="H18" s="2"/>
      <c r="I18" s="5"/>
      <c r="J18" s="23" t="s">
        <v>72</v>
      </c>
      <c r="K18" s="24">
        <f>K16*1015*K10/3000</f>
        <v>35740.856666666652</v>
      </c>
      <c r="L18" s="5" t="s">
        <v>7</v>
      </c>
    </row>
    <row r="19" spans="1:12" x14ac:dyDescent="0.2">
      <c r="A19" s="18" t="s">
        <v>28</v>
      </c>
      <c r="B19" s="3">
        <f>2*(B12*B11*(B10+B9))</f>
        <v>6816</v>
      </c>
      <c r="C19" s="1" t="s">
        <v>0</v>
      </c>
      <c r="D19" s="4" t="s">
        <v>43</v>
      </c>
      <c r="E19" s="7">
        <f>B23*E13*($B$6-$B$7)</f>
        <v>6749.8759850219976</v>
      </c>
      <c r="F19" s="5" t="s">
        <v>7</v>
      </c>
      <c r="G19" s="4"/>
      <c r="H19" s="2"/>
      <c r="I19" s="5"/>
      <c r="J19" s="4"/>
      <c r="K19" s="2"/>
      <c r="L19" s="5"/>
    </row>
    <row r="20" spans="1:12" x14ac:dyDescent="0.2">
      <c r="A20" s="18" t="s">
        <v>29</v>
      </c>
      <c r="B20" s="3">
        <f>B13*B19</f>
        <v>2044.8</v>
      </c>
      <c r="C20" s="1" t="s">
        <v>0</v>
      </c>
      <c r="D20" s="4"/>
      <c r="E20" s="7"/>
      <c r="F20" s="5"/>
      <c r="G20" s="4"/>
      <c r="H20" s="2"/>
      <c r="I20" s="5"/>
      <c r="J20" s="4"/>
      <c r="K20" s="2"/>
      <c r="L20" s="5"/>
    </row>
    <row r="21" spans="1:12" x14ac:dyDescent="0.2">
      <c r="A21" s="18" t="s">
        <v>83</v>
      </c>
      <c r="B21" s="12">
        <f>(((B16/2)^2-(B10/2)^2)^0.5)*B10</f>
        <v>30.714423161318152</v>
      </c>
      <c r="C21" s="13" t="s">
        <v>0</v>
      </c>
      <c r="D21" s="28" t="s">
        <v>44</v>
      </c>
      <c r="E21" s="29">
        <f>(E15+E17+E18+E19)</f>
        <v>68629.287833461989</v>
      </c>
      <c r="F21" s="30" t="s">
        <v>7</v>
      </c>
      <c r="G21" s="28" t="s">
        <v>6</v>
      </c>
      <c r="H21" s="29">
        <f>H12/3000*(B6-B7)*1015</f>
        <v>43301.422500000001</v>
      </c>
      <c r="I21" s="30" t="s">
        <v>7</v>
      </c>
      <c r="J21" s="8" t="s">
        <v>73</v>
      </c>
      <c r="K21" s="9">
        <f>K10/3000*1015*E7</f>
        <v>0</v>
      </c>
      <c r="L21" s="10" t="s">
        <v>7</v>
      </c>
    </row>
    <row r="22" spans="1:12" x14ac:dyDescent="0.2">
      <c r="A22" s="18" t="s">
        <v>30</v>
      </c>
      <c r="B22" s="3">
        <f>B19-B20+B21</f>
        <v>4801.9144231613182</v>
      </c>
      <c r="C22" s="1" t="s">
        <v>0</v>
      </c>
    </row>
    <row r="23" spans="1:12" x14ac:dyDescent="0.2">
      <c r="A23" s="18" t="s">
        <v>82</v>
      </c>
      <c r="B23" s="3">
        <f>B16*B9</f>
        <v>2172.4737640881872</v>
      </c>
      <c r="C23" s="1" t="s">
        <v>0</v>
      </c>
      <c r="D23" s="34" t="s">
        <v>13</v>
      </c>
      <c r="E23" s="35">
        <f>E21+H21</f>
        <v>111930.71033346199</v>
      </c>
      <c r="F23" s="36" t="s">
        <v>7</v>
      </c>
    </row>
    <row r="25" spans="1:12" x14ac:dyDescent="0.2">
      <c r="D25" s="36" t="s">
        <v>66</v>
      </c>
      <c r="E25" s="14">
        <f>E21+H21+K21</f>
        <v>111930.71033346199</v>
      </c>
      <c r="F25" s="1" t="s">
        <v>7</v>
      </c>
      <c r="H25" s="14"/>
    </row>
    <row r="27" spans="1:12" x14ac:dyDescent="0.2">
      <c r="D27" s="1" t="s">
        <v>74</v>
      </c>
      <c r="E27" s="14">
        <f>E25+K18</f>
        <v>147671.56700012865</v>
      </c>
      <c r="F27" s="1" t="s">
        <v>7</v>
      </c>
      <c r="G27" s="43">
        <f>ROUND(E27/1000,1)</f>
        <v>147.69999999999999</v>
      </c>
      <c r="H27" s="1" t="s">
        <v>11</v>
      </c>
    </row>
    <row r="29" spans="1:12" x14ac:dyDescent="0.2">
      <c r="D29" s="1" t="s">
        <v>14</v>
      </c>
      <c r="E29" s="12">
        <f>E23/B2</f>
        <v>6.5841594313801171</v>
      </c>
      <c r="F29" s="1" t="s">
        <v>12</v>
      </c>
    </row>
    <row r="30" spans="1:12" x14ac:dyDescent="0.2">
      <c r="D30" s="1" t="s">
        <v>15</v>
      </c>
      <c r="E30" s="12">
        <f>(K21+K18)/B2</f>
        <v>2.1024033333333323</v>
      </c>
      <c r="F30" s="1" t="s">
        <v>12</v>
      </c>
    </row>
    <row r="31" spans="1:12" x14ac:dyDescent="0.2">
      <c r="D31" s="1" t="s">
        <v>79</v>
      </c>
      <c r="E31" s="12">
        <f>E27/B2</f>
        <v>8.6865627647134502</v>
      </c>
      <c r="F31" s="1" t="s">
        <v>12</v>
      </c>
    </row>
  </sheetData>
  <sheetProtection selectLockedCells="1"/>
  <mergeCells count="8">
    <mergeCell ref="D9:F9"/>
    <mergeCell ref="G9:I9"/>
    <mergeCell ref="J9:L9"/>
    <mergeCell ref="G2:H3"/>
    <mergeCell ref="I2:I3"/>
    <mergeCell ref="G6:G7"/>
    <mergeCell ref="H6:H7"/>
    <mergeCell ref="I6:I7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10</xdr:col>
                    <xdr:colOff>9525</xdr:colOff>
                    <xdr:row>0</xdr:row>
                    <xdr:rowOff>0</xdr:rowOff>
                  </from>
                  <to>
                    <xdr:col>11</xdr:col>
                    <xdr:colOff>276225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BA9DD-0569-469C-A159-AFF8FB39D197}">
  <sheetPr codeName="Ark2"/>
  <dimension ref="A1:I9"/>
  <sheetViews>
    <sheetView workbookViewId="0">
      <selection activeCell="B8" sqref="B8"/>
    </sheetView>
  </sheetViews>
  <sheetFormatPr defaultColWidth="11.42578125" defaultRowHeight="15" x14ac:dyDescent="0.25"/>
  <cols>
    <col min="1" max="1" width="2" bestFit="1" customWidth="1"/>
    <col min="2" max="2" width="19" bestFit="1" customWidth="1"/>
  </cols>
  <sheetData>
    <row r="1" spans="1:9" x14ac:dyDescent="0.25"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</row>
    <row r="2" spans="1:9" x14ac:dyDescent="0.25">
      <c r="B2" t="s">
        <v>52</v>
      </c>
      <c r="C2">
        <v>0.15</v>
      </c>
      <c r="D2">
        <v>0.15</v>
      </c>
      <c r="E2">
        <v>0.22</v>
      </c>
      <c r="F2">
        <v>1.6</v>
      </c>
      <c r="G2">
        <v>4</v>
      </c>
      <c r="H2" s="33">
        <v>0.6</v>
      </c>
      <c r="I2">
        <v>1</v>
      </c>
    </row>
    <row r="3" spans="1:9" x14ac:dyDescent="0.25">
      <c r="B3" t="s">
        <v>53</v>
      </c>
      <c r="C3">
        <v>0.13</v>
      </c>
      <c r="D3">
        <v>0.15</v>
      </c>
      <c r="E3">
        <v>0.18</v>
      </c>
      <c r="F3">
        <v>1.2</v>
      </c>
      <c r="G3">
        <v>3</v>
      </c>
      <c r="H3" s="33">
        <v>0.7</v>
      </c>
      <c r="I3">
        <v>2</v>
      </c>
    </row>
    <row r="4" spans="1:9" x14ac:dyDescent="0.25">
      <c r="B4" t="s">
        <v>54</v>
      </c>
      <c r="C4">
        <v>0.13</v>
      </c>
      <c r="D4">
        <v>0.15</v>
      </c>
      <c r="E4">
        <v>0.18</v>
      </c>
      <c r="F4">
        <v>1.2</v>
      </c>
      <c r="G4">
        <v>1.5</v>
      </c>
      <c r="H4" s="33">
        <v>0.7</v>
      </c>
      <c r="I4">
        <v>3</v>
      </c>
    </row>
    <row r="5" spans="1:9" x14ac:dyDescent="0.25">
      <c r="B5" t="s">
        <v>55</v>
      </c>
      <c r="C5">
        <v>0.13</v>
      </c>
      <c r="D5">
        <v>0.1</v>
      </c>
      <c r="E5">
        <v>0.18</v>
      </c>
      <c r="F5">
        <v>0.8</v>
      </c>
      <c r="G5">
        <v>1.5</v>
      </c>
      <c r="H5" s="33">
        <v>0.8</v>
      </c>
      <c r="I5">
        <v>4</v>
      </c>
    </row>
    <row r="6" spans="1:9" x14ac:dyDescent="0.25">
      <c r="B6" t="s">
        <v>56</v>
      </c>
      <c r="C6">
        <v>0.1</v>
      </c>
      <c r="D6">
        <v>0.1</v>
      </c>
      <c r="E6">
        <v>0.15</v>
      </c>
      <c r="F6">
        <v>0.8</v>
      </c>
      <c r="G6">
        <v>1</v>
      </c>
      <c r="H6" s="33">
        <v>0.8</v>
      </c>
      <c r="I6">
        <v>5</v>
      </c>
    </row>
    <row r="7" spans="1:9" x14ac:dyDescent="0.25">
      <c r="B7" t="s">
        <v>85</v>
      </c>
      <c r="C7">
        <v>0.08</v>
      </c>
      <c r="D7">
        <v>0.08</v>
      </c>
      <c r="E7">
        <v>0.1</v>
      </c>
      <c r="F7">
        <v>0.8</v>
      </c>
      <c r="G7">
        <v>1</v>
      </c>
      <c r="H7" s="33">
        <v>0.8</v>
      </c>
      <c r="I7">
        <v>6</v>
      </c>
    </row>
    <row r="9" spans="1:9" x14ac:dyDescent="0.25">
      <c r="A9">
        <v>4</v>
      </c>
      <c r="B9" t="str">
        <f t="shared" ref="B9:H9" si="0">LOOKUP($A$9,$I$2:$I$13,B2:B13)</f>
        <v>TEK17</v>
      </c>
      <c r="C9">
        <f t="shared" si="0"/>
        <v>0.13</v>
      </c>
      <c r="D9">
        <f t="shared" si="0"/>
        <v>0.1</v>
      </c>
      <c r="E9">
        <f t="shared" si="0"/>
        <v>0.18</v>
      </c>
      <c r="F9">
        <f t="shared" si="0"/>
        <v>0.8</v>
      </c>
      <c r="G9">
        <f t="shared" si="0"/>
        <v>1.5</v>
      </c>
      <c r="H9" s="37">
        <f t="shared" si="0"/>
        <v>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Assesment</vt:lpstr>
      <vt:lpstr>Building code demands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Nielsen</dc:creator>
  <cp:lastModifiedBy>Lisa-IOR</cp:lastModifiedBy>
  <dcterms:created xsi:type="dcterms:W3CDTF">2018-08-27T06:11:06Z</dcterms:created>
  <dcterms:modified xsi:type="dcterms:W3CDTF">2022-07-29T14:13:26Z</dcterms:modified>
</cp:coreProperties>
</file>